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thony\Documents\Clients\AAntree\Antree Admin\Forms &amp; Calculators\"/>
    </mc:Choice>
  </mc:AlternateContent>
  <xr:revisionPtr revIDLastSave="0" documentId="13_ncr:1_{A73B9B97-D66A-4E33-B86A-2F2116B21090}" xr6:coauthVersionLast="31" xr6:coauthVersionMax="31" xr10:uidLastSave="{00000000-0000-0000-0000-000000000000}"/>
  <bookViews>
    <workbookView xWindow="-12" yWindow="-12" windowWidth="5100" windowHeight="9312" xr2:uid="{00000000-000D-0000-FFFF-FFFF00000000}"/>
  </bookViews>
  <sheets>
    <sheet name="INPUT SHEET" sheetId="1" r:id="rId1"/>
    <sheet name="TAX TABLE" sheetId="2" state="hidden" r:id="rId2"/>
    <sheet name="MEDICARE LEVY" sheetId="3" state="hidden" r:id="rId3"/>
  </sheets>
  <definedNames>
    <definedName name="_xlnm.Print_Area" localSheetId="0">'INPUT SHEET'!$A$1:$B$22</definedName>
  </definedNames>
  <calcPr calcId="179017"/>
</workbook>
</file>

<file path=xl/calcChain.xml><?xml version="1.0" encoding="utf-8"?>
<calcChain xmlns="http://schemas.openxmlformats.org/spreadsheetml/2006/main">
  <c r="M12" i="2" l="1"/>
  <c r="M11" i="2"/>
  <c r="M10" i="2"/>
  <c r="M9" i="2"/>
  <c r="C23" i="3" l="1"/>
  <c r="J33" i="2"/>
  <c r="J35" i="2" s="1"/>
  <c r="C13" i="3"/>
  <c r="D16" i="3" s="1"/>
  <c r="D25" i="2"/>
  <c r="F26" i="2" s="1"/>
  <c r="D26" i="2"/>
  <c r="E28" i="3" l="1"/>
  <c r="C32" i="3" s="1"/>
  <c r="E26" i="2"/>
  <c r="J37" i="2"/>
  <c r="J38" i="2"/>
  <c r="E28" i="2"/>
  <c r="E27" i="2"/>
  <c r="F28" i="2"/>
  <c r="F27" i="2"/>
  <c r="D17" i="3"/>
  <c r="D19" i="3" s="1"/>
  <c r="B12" i="1" s="1"/>
  <c r="C34" i="3" l="1"/>
  <c r="J40" i="2"/>
  <c r="E30" i="2"/>
  <c r="B10" i="1" s="1"/>
  <c r="F30" i="2"/>
  <c r="D32" i="3" l="1"/>
  <c r="C36" i="3" l="1"/>
  <c r="C38" i="3" s="1"/>
  <c r="C40" i="3" l="1"/>
  <c r="B14" i="1" s="1"/>
  <c r="B16" i="1" s="1"/>
  <c r="B18" i="1" l="1"/>
  <c r="B20" i="1"/>
  <c r="B22" i="1"/>
</calcChain>
</file>

<file path=xl/sharedStrings.xml><?xml version="1.0" encoding="utf-8"?>
<sst xmlns="http://schemas.openxmlformats.org/spreadsheetml/2006/main" count="40" uniqueCount="24">
  <si>
    <t>NAME</t>
  </si>
  <si>
    <t>RESIDENCY STATUS</t>
  </si>
  <si>
    <t>INCOME</t>
  </si>
  <si>
    <t>TAXABLE INCOME</t>
  </si>
  <si>
    <t>From</t>
  </si>
  <si>
    <t>To</t>
  </si>
  <si>
    <t>RESIDENT FOR THE FULL YEAR</t>
  </si>
  <si>
    <t>Tax on this income</t>
  </si>
  <si>
    <t>+</t>
  </si>
  <si>
    <t>for each $1 over</t>
  </si>
  <si>
    <t>NON-RESIDENT FOR THE FULL YEAR</t>
  </si>
  <si>
    <t>for each $1</t>
  </si>
  <si>
    <t>( R or NR)</t>
  </si>
  <si>
    <t>TAX PAYABLE</t>
  </si>
  <si>
    <t>MEDICARE LEVY</t>
  </si>
  <si>
    <t>Net Income per month</t>
  </si>
  <si>
    <t>Net Income per fortnight</t>
  </si>
  <si>
    <t>Net Income per week</t>
  </si>
  <si>
    <t>NET INCOME per annum</t>
  </si>
  <si>
    <t>Green cells are input cells</t>
  </si>
  <si>
    <t>Low Income Offset</t>
  </si>
  <si>
    <t>R</t>
  </si>
  <si>
    <t>Individual Tax Calculator 2017/2018 Tax Rates</t>
  </si>
  <si>
    <t>Norbit Albert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</si>
</sst>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  <numFmt numFmtId="167" formatCode="_-&quot;$&quot;* #,##0.000_-;\-&quot;$&quot;* #,##0.000_-;_-&quot;$&quot;* &quot;-&quot;?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3" applyFont="1"/>
    <xf numFmtId="164" fontId="0" fillId="0" borderId="0" xfId="1" applyNumberFormat="1" applyFont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0" xfId="0" applyBorder="1"/>
    <xf numFmtId="165" fontId="0" fillId="0" borderId="3" xfId="2" applyNumberFormat="1" applyFont="1" applyBorder="1"/>
    <xf numFmtId="165" fontId="0" fillId="0" borderId="4" xfId="2" applyNumberFormat="1" applyFont="1" applyBorder="1"/>
    <xf numFmtId="165" fontId="0" fillId="0" borderId="5" xfId="2" applyNumberFormat="1" applyFont="1" applyBorder="1"/>
    <xf numFmtId="165" fontId="0" fillId="0" borderId="3" xfId="2" quotePrefix="1" applyNumberFormat="1" applyFont="1" applyBorder="1"/>
    <xf numFmtId="165" fontId="0" fillId="0" borderId="4" xfId="2" quotePrefix="1" applyNumberFormat="1" applyFont="1" applyBorder="1"/>
    <xf numFmtId="165" fontId="0" fillId="0" borderId="5" xfId="2" quotePrefix="1" applyNumberFormat="1" applyFont="1" applyBorder="1"/>
    <xf numFmtId="9" fontId="0" fillId="0" borderId="3" xfId="3" quotePrefix="1" applyFont="1" applyBorder="1"/>
    <xf numFmtId="9" fontId="0" fillId="0" borderId="4" xfId="3" quotePrefix="1" applyFont="1" applyBorder="1"/>
    <xf numFmtId="9" fontId="0" fillId="0" borderId="5" xfId="3" quotePrefix="1" applyFont="1" applyBorder="1"/>
    <xf numFmtId="44" fontId="0" fillId="0" borderId="3" xfId="2" applyFont="1" applyBorder="1"/>
    <xf numFmtId="0" fontId="0" fillId="0" borderId="0" xfId="0" quotePrefix="1"/>
    <xf numFmtId="166" fontId="0" fillId="0" borderId="0" xfId="3" applyNumberFormat="1" applyFont="1"/>
    <xf numFmtId="9" fontId="0" fillId="0" borderId="0" xfId="3" applyNumberFormat="1" applyFont="1"/>
    <xf numFmtId="44" fontId="0" fillId="0" borderId="0" xfId="0" applyNumberFormat="1"/>
    <xf numFmtId="9" fontId="1" fillId="0" borderId="0" xfId="3" applyFont="1"/>
    <xf numFmtId="165" fontId="0" fillId="0" borderId="0" xfId="2" applyNumberFormat="1" applyFont="1" applyBorder="1"/>
    <xf numFmtId="165" fontId="0" fillId="0" borderId="0" xfId="2" quotePrefix="1" applyNumberFormat="1" applyFont="1" applyBorder="1"/>
    <xf numFmtId="9" fontId="0" fillId="0" borderId="0" xfId="3" applyFont="1" applyBorder="1"/>
    <xf numFmtId="9" fontId="0" fillId="0" borderId="0" xfId="3" quotePrefix="1" applyFont="1" applyBorder="1"/>
    <xf numFmtId="165" fontId="0" fillId="0" borderId="17" xfId="2" applyNumberFormat="1" applyFont="1" applyBorder="1"/>
    <xf numFmtId="165" fontId="0" fillId="0" borderId="18" xfId="2" applyNumberFormat="1" applyFont="1" applyBorder="1"/>
    <xf numFmtId="165" fontId="0" fillId="0" borderId="18" xfId="2" quotePrefix="1" applyNumberFormat="1" applyFont="1" applyBorder="1"/>
    <xf numFmtId="9" fontId="0" fillId="0" borderId="18" xfId="3" applyFont="1" applyBorder="1"/>
    <xf numFmtId="9" fontId="0" fillId="0" borderId="18" xfId="3" quotePrefix="1" applyFont="1" applyBorder="1"/>
    <xf numFmtId="44" fontId="0" fillId="0" borderId="19" xfId="2" applyFont="1" applyBorder="1"/>
    <xf numFmtId="165" fontId="0" fillId="0" borderId="20" xfId="2" applyNumberFormat="1" applyFont="1" applyBorder="1"/>
    <xf numFmtId="165" fontId="0" fillId="0" borderId="21" xfId="2" applyNumberFormat="1" applyFont="1" applyBorder="1"/>
    <xf numFmtId="165" fontId="0" fillId="0" borderId="22" xfId="2" applyNumberFormat="1" applyFont="1" applyBorder="1"/>
    <xf numFmtId="165" fontId="0" fillId="0" borderId="23" xfId="2" applyNumberFormat="1" applyFont="1" applyBorder="1"/>
    <xf numFmtId="165" fontId="0" fillId="0" borderId="23" xfId="2" quotePrefix="1" applyNumberFormat="1" applyFont="1" applyBorder="1"/>
    <xf numFmtId="9" fontId="0" fillId="0" borderId="23" xfId="3" quotePrefix="1" applyFont="1" applyBorder="1"/>
    <xf numFmtId="165" fontId="0" fillId="0" borderId="24" xfId="2" applyNumberFormat="1" applyFont="1" applyBorder="1"/>
    <xf numFmtId="166" fontId="0" fillId="0" borderId="0" xfId="3" applyNumberFormat="1" applyFont="1" applyBorder="1"/>
    <xf numFmtId="166" fontId="0" fillId="0" borderId="23" xfId="3" applyNumberFormat="1" applyFont="1" applyBorder="1"/>
    <xf numFmtId="44" fontId="0" fillId="0" borderId="0" xfId="3" applyNumberFormat="1" applyFont="1"/>
    <xf numFmtId="166" fontId="0" fillId="0" borderId="3" xfId="3" applyNumberFormat="1" applyFont="1" applyBorder="1"/>
    <xf numFmtId="166" fontId="0" fillId="0" borderId="4" xfId="3" applyNumberFormat="1" applyFont="1" applyBorder="1"/>
    <xf numFmtId="166" fontId="0" fillId="0" borderId="5" xfId="3" applyNumberFormat="1" applyFont="1" applyBorder="1"/>
    <xf numFmtId="0" fontId="1" fillId="4" borderId="1" xfId="0" applyFont="1" applyFill="1" applyBorder="1" applyProtection="1">
      <protection locked="0"/>
    </xf>
    <xf numFmtId="167" fontId="0" fillId="0" borderId="0" xfId="0" applyNumberFormat="1"/>
    <xf numFmtId="8" fontId="0" fillId="4" borderId="1" xfId="2" applyNumberFormat="1" applyFont="1" applyFill="1" applyBorder="1" applyAlignment="1" applyProtection="1">
      <alignment wrapText="1"/>
      <protection locked="0"/>
    </xf>
    <xf numFmtId="8" fontId="0" fillId="0" borderId="0" xfId="0" applyNumberFormat="1"/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0" fillId="0" borderId="0" xfId="0" applyProtection="1"/>
    <xf numFmtId="0" fontId="0" fillId="4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0" borderId="0" xfId="0" quotePrefix="1" applyProtection="1"/>
    <xf numFmtId="8" fontId="0" fillId="0" borderId="0" xfId="2" applyNumberFormat="1" applyFont="1" applyAlignment="1" applyProtection="1">
      <alignment wrapText="1"/>
    </xf>
    <xf numFmtId="0" fontId="0" fillId="2" borderId="6" xfId="0" applyFill="1" applyBorder="1" applyAlignment="1" applyProtection="1">
      <alignment horizontal="center"/>
    </xf>
    <xf numFmtId="8" fontId="0" fillId="0" borderId="1" xfId="2" applyNumberFormat="1" applyFont="1" applyBorder="1" applyAlignment="1" applyProtection="1">
      <alignment horizontal="right" vertical="top" wrapText="1"/>
    </xf>
    <xf numFmtId="8" fontId="0" fillId="0" borderId="0" xfId="0" applyNumberFormat="1" applyFill="1" applyProtection="1"/>
    <xf numFmtId="0" fontId="0" fillId="0" borderId="0" xfId="0" applyFill="1" applyProtection="1"/>
    <xf numFmtId="8" fontId="0" fillId="0" borderId="0" xfId="2" applyNumberFormat="1" applyFont="1" applyAlignment="1" applyProtection="1">
      <alignment horizontal="right" vertical="top" wrapText="1"/>
    </xf>
    <xf numFmtId="0" fontId="0" fillId="0" borderId="0" xfId="0" applyFill="1" applyBorder="1" applyAlignment="1" applyProtection="1">
      <alignment horizontal="center"/>
    </xf>
    <xf numFmtId="8" fontId="0" fillId="0" borderId="0" xfId="2" applyNumberFormat="1" applyFont="1" applyFill="1" applyBorder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1520952</xdr:colOff>
      <xdr:row>1</xdr:row>
      <xdr:rowOff>595170</xdr:rowOff>
    </xdr:to>
    <xdr:pic>
      <xdr:nvPicPr>
        <xdr:cNvPr id="2" name="Picture 1" descr="Antree Logo - stand alone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0952" cy="75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D22"/>
  <sheetViews>
    <sheetView tabSelected="1" zoomScale="160" zoomScaleNormal="160" workbookViewId="0">
      <selection activeCell="B4" sqref="B4"/>
    </sheetView>
  </sheetViews>
  <sheetFormatPr defaultColWidth="9.109375" defaultRowHeight="13.2" x14ac:dyDescent="0.25"/>
  <cols>
    <col min="1" max="1" width="24.5546875" style="50" customWidth="1"/>
    <col min="2" max="2" width="24.109375" style="52" customWidth="1"/>
    <col min="3" max="3" width="9.44140625" style="52" bestFit="1" customWidth="1"/>
    <col min="4" max="16384" width="9.109375" style="52"/>
  </cols>
  <sheetData>
    <row r="2" spans="1:4" ht="46.8" x14ac:dyDescent="0.3">
      <c r="B2" s="51" t="s">
        <v>22</v>
      </c>
    </row>
    <row r="3" spans="1:4" ht="13.8" thickBot="1" x14ac:dyDescent="0.3">
      <c r="C3" s="53"/>
      <c r="D3" s="52" t="s">
        <v>19</v>
      </c>
    </row>
    <row r="4" spans="1:4" ht="13.8" thickBot="1" x14ac:dyDescent="0.3">
      <c r="A4" s="54" t="s">
        <v>0</v>
      </c>
      <c r="B4" s="45" t="s">
        <v>23</v>
      </c>
    </row>
    <row r="5" spans="1:4" ht="13.8" thickBot="1" x14ac:dyDescent="0.3"/>
    <row r="6" spans="1:4" ht="13.8" thickBot="1" x14ac:dyDescent="0.3">
      <c r="A6" s="54" t="s">
        <v>1</v>
      </c>
      <c r="B6" s="49" t="s">
        <v>21</v>
      </c>
      <c r="C6" s="55" t="s">
        <v>12</v>
      </c>
    </row>
    <row r="7" spans="1:4" ht="13.8" thickBot="1" x14ac:dyDescent="0.3"/>
    <row r="8" spans="1:4" ht="13.8" thickBot="1" x14ac:dyDescent="0.3">
      <c r="A8" s="54" t="s">
        <v>2</v>
      </c>
      <c r="B8" s="47">
        <v>100000</v>
      </c>
    </row>
    <row r="9" spans="1:4" ht="13.8" thickBot="1" x14ac:dyDescent="0.3">
      <c r="B9" s="56"/>
    </row>
    <row r="10" spans="1:4" ht="13.8" thickBot="1" x14ac:dyDescent="0.3">
      <c r="A10" s="57" t="s">
        <v>13</v>
      </c>
      <c r="B10" s="58">
        <f>IF(B6="R",'TAX TABLE'!E30,'TAX TABLE'!F30)</f>
        <v>24632</v>
      </c>
      <c r="C10" s="59"/>
      <c r="D10" s="60"/>
    </row>
    <row r="11" spans="1:4" ht="13.8" thickBot="1" x14ac:dyDescent="0.3">
      <c r="B11" s="61"/>
      <c r="C11" s="60"/>
      <c r="D11" s="60"/>
    </row>
    <row r="12" spans="1:4" ht="13.8" thickBot="1" x14ac:dyDescent="0.3">
      <c r="A12" s="54" t="s">
        <v>14</v>
      </c>
      <c r="B12" s="58">
        <f>'MEDICARE LEVY'!D19</f>
        <v>2000</v>
      </c>
      <c r="C12" s="59"/>
      <c r="D12" s="60"/>
    </row>
    <row r="13" spans="1:4" s="60" customFormat="1" ht="13.8" thickBot="1" x14ac:dyDescent="0.3">
      <c r="A13" s="62"/>
      <c r="B13" s="63"/>
    </row>
    <row r="14" spans="1:4" ht="13.8" thickBot="1" x14ac:dyDescent="0.3">
      <c r="A14" s="64" t="s">
        <v>20</v>
      </c>
      <c r="B14" s="58">
        <f>'MEDICARE LEVY'!C40</f>
        <v>0</v>
      </c>
      <c r="C14" s="59"/>
      <c r="D14" s="60"/>
    </row>
    <row r="15" spans="1:4" ht="13.8" thickBot="1" x14ac:dyDescent="0.3">
      <c r="B15" s="61"/>
    </row>
    <row r="16" spans="1:4" ht="13.8" thickBot="1" x14ac:dyDescent="0.3">
      <c r="A16" s="54" t="s">
        <v>18</v>
      </c>
      <c r="B16" s="58">
        <f>B8-B10-B12+B14</f>
        <v>73368</v>
      </c>
    </row>
    <row r="17" spans="1:2" ht="13.8" thickBot="1" x14ac:dyDescent="0.3">
      <c r="B17" s="61"/>
    </row>
    <row r="18" spans="1:2" ht="13.8" thickBot="1" x14ac:dyDescent="0.3">
      <c r="A18" s="65" t="s">
        <v>15</v>
      </c>
      <c r="B18" s="58">
        <f>B16/12</f>
        <v>6114</v>
      </c>
    </row>
    <row r="19" spans="1:2" ht="13.8" thickBot="1" x14ac:dyDescent="0.3">
      <c r="B19" s="61"/>
    </row>
    <row r="20" spans="1:2" ht="13.8" thickBot="1" x14ac:dyDescent="0.3">
      <c r="A20" s="65" t="s">
        <v>16</v>
      </c>
      <c r="B20" s="58">
        <f>B16/26</f>
        <v>2821.8461538461538</v>
      </c>
    </row>
    <row r="21" spans="1:2" ht="13.8" thickBot="1" x14ac:dyDescent="0.3">
      <c r="B21" s="61"/>
    </row>
    <row r="22" spans="1:2" ht="13.8" thickBot="1" x14ac:dyDescent="0.3">
      <c r="A22" s="65" t="s">
        <v>17</v>
      </c>
      <c r="B22" s="58">
        <f>B16/52</f>
        <v>1410.9230769230769</v>
      </c>
    </row>
  </sheetData>
  <sheetProtection password="CB5C" sheet="1" objects="1" scenarios="1" selectLockedCells="1"/>
  <phoneticPr fontId="0" type="noConversion"/>
  <pageMargins left="0.74803149606299213" right="0.74803149606299213" top="0.98425196850393704" bottom="0.98425196850393704" header="0.51181102362204722" footer="0.51181102362204722"/>
  <pageSetup paperSize="9" scale="1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O40"/>
  <sheetViews>
    <sheetView topLeftCell="D1" zoomScale="130" zoomScaleNormal="130" workbookViewId="0">
      <selection activeCell="D1" sqref="D1"/>
    </sheetView>
  </sheetViews>
  <sheetFormatPr defaultRowHeight="13.2" x14ac:dyDescent="0.25"/>
  <cols>
    <col min="4" max="5" width="12.33203125" style="2" bestFit="1" customWidth="1"/>
    <col min="6" max="6" width="11.33203125" style="2" bestFit="1" customWidth="1"/>
    <col min="7" max="7" width="3.44140625" style="2" customWidth="1"/>
    <col min="8" max="8" width="10.33203125" style="18" bestFit="1" customWidth="1"/>
    <col min="9" max="9" width="14.109375" style="3" bestFit="1" customWidth="1"/>
    <col min="10" max="10" width="11.33203125" style="2" bestFit="1" customWidth="1"/>
    <col min="14" max="14" width="14.33203125" bestFit="1" customWidth="1"/>
    <col min="15" max="15" width="9.88671875" bestFit="1" customWidth="1"/>
  </cols>
  <sheetData>
    <row r="1" spans="4:15" ht="13.8" thickBot="1" x14ac:dyDescent="0.3"/>
    <row r="2" spans="4:15" x14ac:dyDescent="0.25">
      <c r="D2" s="71" t="s">
        <v>6</v>
      </c>
      <c r="E2" s="72"/>
      <c r="F2" s="72"/>
      <c r="G2" s="72"/>
      <c r="H2" s="72"/>
      <c r="I2" s="72"/>
      <c r="J2" s="72"/>
      <c r="K2" s="73"/>
    </row>
    <row r="3" spans="4:15" ht="13.8" thickBot="1" x14ac:dyDescent="0.3">
      <c r="D3" s="74"/>
      <c r="E3" s="75"/>
      <c r="F3" s="75"/>
      <c r="G3" s="75"/>
      <c r="H3" s="75"/>
      <c r="I3" s="75"/>
      <c r="J3" s="75"/>
      <c r="K3" s="76"/>
    </row>
    <row r="4" spans="4:15" ht="13.8" thickBot="1" x14ac:dyDescent="0.3">
      <c r="D4" s="66" t="s">
        <v>3</v>
      </c>
      <c r="E4" s="67"/>
      <c r="F4" s="68" t="s">
        <v>7</v>
      </c>
      <c r="G4" s="69"/>
      <c r="H4" s="69"/>
      <c r="I4" s="69"/>
      <c r="J4" s="69"/>
      <c r="K4" s="70"/>
      <c r="O4" s="6"/>
    </row>
    <row r="5" spans="4:15" x14ac:dyDescent="0.25">
      <c r="D5" s="5" t="s">
        <v>4</v>
      </c>
      <c r="E5" s="5" t="s">
        <v>5</v>
      </c>
    </row>
    <row r="6" spans="4:15" x14ac:dyDescent="0.25">
      <c r="D6" s="7">
        <v>1</v>
      </c>
      <c r="E6" s="7">
        <v>18200</v>
      </c>
      <c r="F6" s="7">
        <v>0</v>
      </c>
      <c r="G6" s="10" t="s">
        <v>8</v>
      </c>
      <c r="H6" s="42"/>
      <c r="I6" s="13"/>
      <c r="J6" s="16"/>
    </row>
    <row r="7" spans="4:15" x14ac:dyDescent="0.25">
      <c r="D7" s="8">
        <v>18201</v>
      </c>
      <c r="E7" s="8">
        <v>37000</v>
      </c>
      <c r="F7" s="8">
        <v>0</v>
      </c>
      <c r="G7" s="11" t="s">
        <v>8</v>
      </c>
      <c r="H7" s="43">
        <v>0.19</v>
      </c>
      <c r="I7" s="14" t="s">
        <v>9</v>
      </c>
      <c r="J7" s="8">
        <v>18200</v>
      </c>
    </row>
    <row r="8" spans="4:15" x14ac:dyDescent="0.25">
      <c r="D8" s="8">
        <v>37001</v>
      </c>
      <c r="E8" s="8">
        <v>87000</v>
      </c>
      <c r="F8" s="8">
        <v>3572</v>
      </c>
      <c r="G8" s="11" t="s">
        <v>8</v>
      </c>
      <c r="H8" s="43">
        <v>0.32500000000000001</v>
      </c>
      <c r="I8" s="14" t="s">
        <v>9</v>
      </c>
      <c r="J8" s="8">
        <v>37000</v>
      </c>
    </row>
    <row r="9" spans="4:15" x14ac:dyDescent="0.25">
      <c r="D9" s="8">
        <v>87001</v>
      </c>
      <c r="E9" s="8">
        <v>180000</v>
      </c>
      <c r="F9" s="8">
        <v>19822</v>
      </c>
      <c r="G9" s="11" t="s">
        <v>8</v>
      </c>
      <c r="H9" s="43">
        <v>0.37</v>
      </c>
      <c r="I9" s="14" t="s">
        <v>9</v>
      </c>
      <c r="J9" s="8">
        <v>87000</v>
      </c>
      <c r="M9">
        <f>37000-18200</f>
        <v>18800</v>
      </c>
    </row>
    <row r="10" spans="4:15" x14ac:dyDescent="0.25">
      <c r="D10" s="9">
        <v>180001</v>
      </c>
      <c r="E10" s="9"/>
      <c r="F10" s="9">
        <v>54232</v>
      </c>
      <c r="G10" s="12" t="s">
        <v>8</v>
      </c>
      <c r="H10" s="44">
        <v>0.45</v>
      </c>
      <c r="I10" s="15" t="s">
        <v>9</v>
      </c>
      <c r="J10" s="9">
        <v>180000</v>
      </c>
      <c r="M10">
        <f>M9*0.19</f>
        <v>3572</v>
      </c>
    </row>
    <row r="11" spans="4:15" x14ac:dyDescent="0.25">
      <c r="M11">
        <f>(87000-37000)*0.325</f>
        <v>16250</v>
      </c>
    </row>
    <row r="12" spans="4:15" ht="13.8" thickBot="1" x14ac:dyDescent="0.3">
      <c r="M12">
        <f>(180000-87000)*0.37</f>
        <v>34410</v>
      </c>
    </row>
    <row r="13" spans="4:15" x14ac:dyDescent="0.25">
      <c r="D13" s="71" t="s">
        <v>10</v>
      </c>
      <c r="E13" s="72"/>
      <c r="F13" s="72"/>
      <c r="G13" s="72"/>
      <c r="H13" s="72"/>
      <c r="I13" s="72"/>
      <c r="J13" s="72"/>
      <c r="K13" s="73"/>
    </row>
    <row r="14" spans="4:15" ht="13.8" thickBot="1" x14ac:dyDescent="0.3">
      <c r="D14" s="74"/>
      <c r="E14" s="75"/>
      <c r="F14" s="75"/>
      <c r="G14" s="75"/>
      <c r="H14" s="75"/>
      <c r="I14" s="75"/>
      <c r="J14" s="75"/>
      <c r="K14" s="76"/>
    </row>
    <row r="15" spans="4:15" ht="13.8" thickBot="1" x14ac:dyDescent="0.3">
      <c r="D15" s="66" t="s">
        <v>3</v>
      </c>
      <c r="E15" s="67"/>
      <c r="F15" s="68" t="s">
        <v>7</v>
      </c>
      <c r="G15" s="69"/>
      <c r="H15" s="69"/>
      <c r="I15" s="69"/>
      <c r="J15" s="69"/>
      <c r="K15" s="70"/>
    </row>
    <row r="16" spans="4:15" x14ac:dyDescent="0.25">
      <c r="D16" s="5" t="s">
        <v>4</v>
      </c>
      <c r="E16" s="5" t="s">
        <v>5</v>
      </c>
    </row>
    <row r="17" spans="4:15" x14ac:dyDescent="0.25">
      <c r="D17" s="7">
        <v>1</v>
      </c>
      <c r="E17" s="7">
        <v>87000</v>
      </c>
      <c r="F17" s="7">
        <v>0</v>
      </c>
      <c r="G17" s="10" t="s">
        <v>8</v>
      </c>
      <c r="H17" s="42">
        <v>0.32500000000000001</v>
      </c>
      <c r="I17" s="13" t="s">
        <v>11</v>
      </c>
      <c r="J17" s="16"/>
    </row>
    <row r="18" spans="4:15" x14ac:dyDescent="0.25">
      <c r="D18" s="8">
        <v>87001</v>
      </c>
      <c r="E18" s="8">
        <v>180000</v>
      </c>
      <c r="F18" s="8">
        <v>28275</v>
      </c>
      <c r="G18" s="11" t="s">
        <v>8</v>
      </c>
      <c r="H18" s="43">
        <v>0.37</v>
      </c>
      <c r="I18" s="14" t="s">
        <v>9</v>
      </c>
      <c r="J18" s="8">
        <v>87000</v>
      </c>
    </row>
    <row r="19" spans="4:15" x14ac:dyDescent="0.25">
      <c r="D19" s="8">
        <v>180001</v>
      </c>
      <c r="E19" s="8"/>
      <c r="F19" s="8">
        <v>62685</v>
      </c>
      <c r="G19" s="11" t="s">
        <v>8</v>
      </c>
      <c r="H19" s="43">
        <v>0.45</v>
      </c>
      <c r="I19" s="14" t="s">
        <v>9</v>
      </c>
      <c r="J19" s="8">
        <v>180000</v>
      </c>
    </row>
    <row r="20" spans="4:15" x14ac:dyDescent="0.25">
      <c r="D20" s="9"/>
      <c r="E20" s="9"/>
      <c r="F20" s="9"/>
      <c r="G20" s="12"/>
      <c r="H20" s="44"/>
      <c r="I20" s="15"/>
      <c r="J20" s="9"/>
    </row>
    <row r="25" spans="4:15" x14ac:dyDescent="0.25">
      <c r="D25" s="2">
        <f>'INPUT SHEET'!B8</f>
        <v>100000</v>
      </c>
    </row>
    <row r="26" spans="4:15" x14ac:dyDescent="0.25">
      <c r="D26" s="4" t="str">
        <f>'INPUT SHEET'!B6</f>
        <v>R</v>
      </c>
      <c r="E26" s="2">
        <f>VLOOKUP(D25,D6:J10,3,TRUE)</f>
        <v>19822</v>
      </c>
      <c r="F26" s="2">
        <f>VLOOKUP(D25,D17:J20,3,TRUE)</f>
        <v>28275</v>
      </c>
      <c r="I26" s="21"/>
    </row>
    <row r="27" spans="4:15" x14ac:dyDescent="0.25">
      <c r="E27" s="2">
        <f>VLOOKUP(D25,D6:J10,5,TRUE)</f>
        <v>0.37</v>
      </c>
      <c r="F27" s="2">
        <f>VLOOKUP(D25,D17:J20,5,TRUE)</f>
        <v>0.37</v>
      </c>
      <c r="I27" s="26"/>
      <c r="J27" s="27"/>
      <c r="K27" s="27"/>
      <c r="L27" s="28"/>
      <c r="M27" s="29"/>
      <c r="N27" s="30"/>
      <c r="O27" s="31"/>
    </row>
    <row r="28" spans="4:15" x14ac:dyDescent="0.25">
      <c r="E28" s="2">
        <f>VLOOKUP(D25,D6:J10,7,TRUE)</f>
        <v>87000</v>
      </c>
      <c r="F28" s="2">
        <f>VLOOKUP(D25,D17:J20,7,TRUE)</f>
        <v>87000</v>
      </c>
      <c r="I28" s="32"/>
      <c r="J28" s="22"/>
      <c r="K28" s="22"/>
      <c r="L28" s="23"/>
      <c r="M28" s="39"/>
      <c r="N28" s="25"/>
      <c r="O28" s="33"/>
    </row>
    <row r="29" spans="4:15" x14ac:dyDescent="0.25">
      <c r="I29" s="34"/>
      <c r="J29" s="35"/>
      <c r="K29" s="35"/>
      <c r="L29" s="36"/>
      <c r="M29" s="40"/>
      <c r="N29" s="37"/>
      <c r="O29" s="38"/>
    </row>
    <row r="30" spans="4:15" x14ac:dyDescent="0.25">
      <c r="E30" s="2">
        <f>(D25-E28)*E27+E26</f>
        <v>24632</v>
      </c>
      <c r="F30" s="2">
        <f>(D25-F28)*F27+F26</f>
        <v>33085</v>
      </c>
      <c r="I30" s="22"/>
      <c r="J30" s="22"/>
      <c r="K30" s="22"/>
      <c r="L30" s="23"/>
      <c r="M30" s="24"/>
      <c r="N30" s="25"/>
      <c r="O30" s="22"/>
    </row>
    <row r="31" spans="4:15" x14ac:dyDescent="0.25">
      <c r="I31" s="41"/>
    </row>
    <row r="32" spans="4:15" x14ac:dyDescent="0.25">
      <c r="J32" s="18"/>
    </row>
    <row r="33" spans="10:10" x14ac:dyDescent="0.25">
      <c r="J33" s="2" t="e">
        <f>VLOOKUP(I31,I27:O30,7,TRUE)</f>
        <v>#N/A</v>
      </c>
    </row>
    <row r="35" spans="10:10" x14ac:dyDescent="0.25">
      <c r="J35" s="2" t="e">
        <f>I31-J33</f>
        <v>#N/A</v>
      </c>
    </row>
    <row r="37" spans="10:10" x14ac:dyDescent="0.25">
      <c r="J37" s="2" t="e">
        <f>J32*J35</f>
        <v>#N/A</v>
      </c>
    </row>
    <row r="38" spans="10:10" x14ac:dyDescent="0.25">
      <c r="J38" s="2">
        <f>J31</f>
        <v>0</v>
      </c>
    </row>
    <row r="40" spans="10:10" x14ac:dyDescent="0.25">
      <c r="J40" s="2" t="e">
        <f>J37+J38</f>
        <v>#N/A</v>
      </c>
    </row>
  </sheetData>
  <sheetProtection password="CB5C" sheet="1" objects="1" scenarios="1"/>
  <mergeCells count="6">
    <mergeCell ref="D15:E15"/>
    <mergeCell ref="F15:K15"/>
    <mergeCell ref="D4:E4"/>
    <mergeCell ref="D2:K3"/>
    <mergeCell ref="F4:K4"/>
    <mergeCell ref="D13:K14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4:G40"/>
  <sheetViews>
    <sheetView workbookViewId="0"/>
  </sheetViews>
  <sheetFormatPr defaultRowHeight="13.2" x14ac:dyDescent="0.25"/>
  <cols>
    <col min="3" max="3" width="12.33203125" bestFit="1" customWidth="1"/>
    <col min="4" max="4" width="11.33203125" bestFit="1" customWidth="1"/>
    <col min="5" max="5" width="9.6640625" bestFit="1" customWidth="1"/>
    <col min="6" max="6" width="9.109375" style="18"/>
    <col min="7" max="7" width="10.33203125" bestFit="1" customWidth="1"/>
  </cols>
  <sheetData>
    <row r="4" spans="3:7" x14ac:dyDescent="0.25">
      <c r="C4" s="17"/>
      <c r="D4" s="17"/>
    </row>
    <row r="5" spans="3:7" x14ac:dyDescent="0.25">
      <c r="C5" s="1">
        <v>0</v>
      </c>
      <c r="D5" s="1">
        <v>21655</v>
      </c>
      <c r="E5" s="1">
        <v>0</v>
      </c>
      <c r="F5" s="19">
        <v>0</v>
      </c>
      <c r="G5" s="1">
        <v>0</v>
      </c>
    </row>
    <row r="6" spans="3:7" x14ac:dyDescent="0.25">
      <c r="C6" s="1">
        <v>21655</v>
      </c>
      <c r="D6" s="1">
        <v>27068</v>
      </c>
      <c r="E6" s="1">
        <v>0</v>
      </c>
      <c r="F6" s="19">
        <v>0.1</v>
      </c>
      <c r="G6" s="1">
        <v>21655</v>
      </c>
    </row>
    <row r="7" spans="3:7" x14ac:dyDescent="0.25">
      <c r="C7" s="1">
        <v>27068</v>
      </c>
      <c r="D7" s="1"/>
      <c r="E7" s="1">
        <v>0</v>
      </c>
      <c r="F7" s="18">
        <v>0.02</v>
      </c>
      <c r="G7" s="1">
        <v>0</v>
      </c>
    </row>
    <row r="13" spans="3:7" x14ac:dyDescent="0.25">
      <c r="C13" s="20">
        <f>IF('INPUT SHEET'!B6="R",'INPUT SHEET'!B8,0)</f>
        <v>100000</v>
      </c>
    </row>
    <row r="16" spans="3:7" x14ac:dyDescent="0.25">
      <c r="D16" s="18">
        <f>VLOOKUP(C13,C5:G7,4,TRUE)</f>
        <v>0.02</v>
      </c>
    </row>
    <row r="17" spans="3:5" x14ac:dyDescent="0.25">
      <c r="D17" s="1">
        <f>VLOOKUP(C13,C5:G7,5,TRUE)</f>
        <v>0</v>
      </c>
    </row>
    <row r="19" spans="3:5" x14ac:dyDescent="0.25">
      <c r="D19" s="20">
        <f>(C13-D17)*D16</f>
        <v>2000</v>
      </c>
    </row>
    <row r="23" spans="3:5" x14ac:dyDescent="0.25">
      <c r="C23" s="20">
        <f>'INPUT SHEET'!B8</f>
        <v>100000</v>
      </c>
    </row>
    <row r="27" spans="3:5" x14ac:dyDescent="0.25">
      <c r="C27">
        <v>0</v>
      </c>
      <c r="D27">
        <v>37000</v>
      </c>
      <c r="E27">
        <v>445</v>
      </c>
    </row>
    <row r="28" spans="3:5" x14ac:dyDescent="0.25">
      <c r="C28">
        <v>37001</v>
      </c>
      <c r="D28">
        <v>66667</v>
      </c>
      <c r="E28" s="46">
        <f xml:space="preserve"> 445-(C23-37000)*0.015</f>
        <v>-500</v>
      </c>
    </row>
    <row r="29" spans="3:5" x14ac:dyDescent="0.25">
      <c r="C29">
        <v>66668</v>
      </c>
      <c r="E29">
        <v>0</v>
      </c>
    </row>
    <row r="32" spans="3:5" x14ac:dyDescent="0.25">
      <c r="C32">
        <f>VLOOKUP(C23,C27:E29,3)</f>
        <v>0</v>
      </c>
      <c r="D32" s="48">
        <f>'INPUT SHEET'!B10+'INPUT SHEET'!B12</f>
        <v>26632</v>
      </c>
    </row>
    <row r="34" spans="3:3" x14ac:dyDescent="0.25">
      <c r="C34">
        <f>IF('INPUT SHEET'!B6="R",'MEDICARE LEVY'!C32,0)</f>
        <v>0</v>
      </c>
    </row>
    <row r="36" spans="3:3" x14ac:dyDescent="0.25">
      <c r="C36">
        <f>IF(C32&gt;C34,D32,C34)</f>
        <v>0</v>
      </c>
    </row>
    <row r="38" spans="3:3" x14ac:dyDescent="0.25">
      <c r="C38">
        <f>IF('INPUT SHEET'!B6="R",'MEDICARE LEVY'!C36,0)</f>
        <v>0</v>
      </c>
    </row>
    <row r="40" spans="3:3" x14ac:dyDescent="0.25">
      <c r="C40">
        <f>IF(D32&gt;C38,C38,D32)</f>
        <v>0</v>
      </c>
    </row>
  </sheetData>
  <sheetProtection password="CB5C"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 SHEET</vt:lpstr>
      <vt:lpstr>TAX TABLE</vt:lpstr>
      <vt:lpstr>MEDICARE LEVY</vt:lpstr>
      <vt:lpstr>'INPUT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Erasmus</dc:creator>
  <cp:lastModifiedBy>Anthony Erasmus</cp:lastModifiedBy>
  <cp:lastPrinted>2012-05-27T10:02:48Z</cp:lastPrinted>
  <dcterms:created xsi:type="dcterms:W3CDTF">2000-11-21T07:38:07Z</dcterms:created>
  <dcterms:modified xsi:type="dcterms:W3CDTF">2018-04-28T01:39:31Z</dcterms:modified>
</cp:coreProperties>
</file>